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vorakovap\Documents\Dokumenty\DOTACE KULTURA\Dotace 2021\03_Komise pro kulturu\"/>
    </mc:Choice>
  </mc:AlternateContent>
  <xr:revisionPtr revIDLastSave="0" documentId="13_ncr:1_{F851FFD9-31BB-43FE-9362-B2423CE0386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3" sheetId="3" r:id="rId2"/>
  </sheets>
  <calcPr calcId="191029" iterateDelta="1E-4"/>
</workbook>
</file>

<file path=xl/calcChain.xml><?xml version="1.0" encoding="utf-8"?>
<calcChain xmlns="http://schemas.openxmlformats.org/spreadsheetml/2006/main">
  <c r="K28" i="1" l="1"/>
  <c r="K12" i="1" l="1"/>
  <c r="K31" i="1"/>
  <c r="K29" i="1"/>
  <c r="K27" i="1"/>
  <c r="K26" i="1"/>
  <c r="K25" i="1"/>
  <c r="K24" i="1"/>
  <c r="K22" i="1"/>
  <c r="K21" i="1"/>
  <c r="K20" i="1"/>
  <c r="K19" i="1"/>
  <c r="K18" i="1"/>
  <c r="K17" i="1"/>
  <c r="K16" i="1"/>
  <c r="K15" i="1"/>
  <c r="K14" i="1"/>
  <c r="K13" i="1"/>
  <c r="K11" i="1"/>
  <c r="K10" i="1"/>
  <c r="K9" i="1"/>
  <c r="K8" i="1"/>
  <c r="K7" i="1"/>
  <c r="K6" i="1"/>
  <c r="K5" i="1"/>
  <c r="L22" i="1" l="1"/>
  <c r="M22" i="1" s="1"/>
  <c r="N22" i="1" s="1"/>
  <c r="L28" i="1"/>
  <c r="N28" i="1" s="1"/>
  <c r="L29" i="1"/>
  <c r="M29" i="1" s="1"/>
  <c r="N29" i="1" s="1"/>
  <c r="L30" i="1"/>
  <c r="M30" i="1" s="1"/>
  <c r="N30" i="1" s="1"/>
  <c r="J32" i="1" l="1"/>
  <c r="L15" i="1" l="1"/>
  <c r="M15" i="1" s="1"/>
  <c r="N15" i="1" s="1"/>
  <c r="L16" i="1"/>
  <c r="M16" i="1" s="1"/>
  <c r="N16" i="1" s="1"/>
  <c r="L13" i="1" l="1"/>
  <c r="M13" i="1" s="1"/>
  <c r="N13" i="1" s="1"/>
  <c r="L14" i="1"/>
  <c r="M14" i="1" s="1"/>
  <c r="N14" i="1" s="1"/>
  <c r="L5" i="1" l="1"/>
  <c r="M5" i="1" s="1"/>
  <c r="N5" i="1" s="1"/>
  <c r="L6" i="1"/>
  <c r="N6" i="1" s="1"/>
  <c r="L7" i="1"/>
  <c r="M7" i="1" s="1"/>
  <c r="N7" i="1" s="1"/>
  <c r="D45" i="1" l="1"/>
  <c r="L8" i="1" l="1"/>
  <c r="L9" i="1"/>
  <c r="L10" i="1"/>
  <c r="L11" i="1"/>
  <c r="L12" i="1"/>
  <c r="L17" i="1"/>
  <c r="L18" i="1"/>
  <c r="L19" i="1"/>
  <c r="L20" i="1"/>
  <c r="L21" i="1"/>
  <c r="L23" i="1"/>
  <c r="L24" i="1"/>
  <c r="L25" i="1"/>
  <c r="L26" i="1"/>
  <c r="L27" i="1"/>
  <c r="L31" i="1"/>
  <c r="L4" i="1"/>
  <c r="N8" i="1" l="1"/>
  <c r="M9" i="1"/>
  <c r="N9" i="1" s="1"/>
  <c r="M10" i="1"/>
  <c r="N10" i="1" s="1"/>
  <c r="M11" i="1"/>
  <c r="N11" i="1" s="1"/>
  <c r="M12" i="1"/>
  <c r="N12" i="1" s="1"/>
  <c r="N17" i="1"/>
  <c r="M18" i="1"/>
  <c r="N18" i="1" s="1"/>
  <c r="M19" i="1"/>
  <c r="N19" i="1" s="1"/>
  <c r="M20" i="1"/>
  <c r="N20" i="1" s="1"/>
  <c r="M21" i="1"/>
  <c r="N21" i="1" s="1"/>
  <c r="M23" i="1"/>
  <c r="N23" i="1" s="1"/>
  <c r="M24" i="1"/>
  <c r="N24" i="1" s="1"/>
  <c r="M25" i="1"/>
  <c r="N25" i="1" s="1"/>
  <c r="M26" i="1"/>
  <c r="N26" i="1" s="1"/>
  <c r="M27" i="1"/>
  <c r="N27" i="1" s="1"/>
  <c r="N31" i="1"/>
  <c r="M4" i="1"/>
  <c r="N4" i="1" l="1"/>
  <c r="N32" i="1" s="1"/>
  <c r="E4" i="1"/>
  <c r="G9" i="1" l="1"/>
  <c r="G4" i="1"/>
  <c r="G12" i="1" l="1"/>
  <c r="G27" i="1" l="1"/>
  <c r="H26" i="1" l="1"/>
  <c r="F26" i="1"/>
  <c r="E9" i="1" l="1"/>
  <c r="E26" i="1"/>
  <c r="E17" i="1"/>
  <c r="D17" i="1"/>
  <c r="E12" i="1"/>
  <c r="D19" i="1"/>
  <c r="E19" i="1"/>
  <c r="E27" i="1"/>
  <c r="D27" i="1"/>
  <c r="D53" i="1" l="1"/>
  <c r="I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Dvořáková Pavla, Ing.</author>
  </authors>
  <commentList>
    <comment ref="K3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Dvořáková Pavla, Ing.:</t>
        </r>
        <r>
          <rPr>
            <sz val="9"/>
            <color indexed="81"/>
            <rFont val="Tahoma"/>
            <charset val="1"/>
          </rPr>
          <t xml:space="preserve">
součet bodů přidělených jednotlivými členy komise vydělený počtem členů komise</t>
        </r>
      </text>
    </comment>
  </commentList>
</comments>
</file>

<file path=xl/sharedStrings.xml><?xml version="1.0" encoding="utf-8"?>
<sst xmlns="http://schemas.openxmlformats.org/spreadsheetml/2006/main" count="136" uniqueCount="95">
  <si>
    <t>č.</t>
  </si>
  <si>
    <t>žadatel</t>
  </si>
  <si>
    <t>celkové náklady</t>
  </si>
  <si>
    <t>BODY CELKEM (0-50)</t>
  </si>
  <si>
    <t>projekt</t>
  </si>
  <si>
    <t>Křesťanský klub Beroun, z.s.</t>
  </si>
  <si>
    <t>Lomikámen, z.ú.</t>
  </si>
  <si>
    <t>Rozvoj baletní výchovy v Berouně</t>
  </si>
  <si>
    <t>Mgr. Bohumila Vokáčová</t>
  </si>
  <si>
    <t>nežádali</t>
  </si>
  <si>
    <t>dotace MB 2018 celkem</t>
  </si>
  <si>
    <t>Muzeum Českého krasu, příspěvková organizace</t>
  </si>
  <si>
    <t>Cyklus besed Setkání s autory, které máte rádi</t>
  </si>
  <si>
    <t>Vladimír Mužík</t>
  </si>
  <si>
    <t>CELKEM</t>
  </si>
  <si>
    <t>ZBÝVÁ</t>
  </si>
  <si>
    <t>Stranou - evropští básníci naživo</t>
  </si>
  <si>
    <t>RC Slunečnice</t>
  </si>
  <si>
    <t>Smíšený pěvecký sbor Slavoš Beroun z.s.</t>
  </si>
  <si>
    <t>Základní umělecká škola Václava Talicha</t>
  </si>
  <si>
    <t>Dům dětí a mládeže Beroun, příspěvková organizace</t>
  </si>
  <si>
    <t>LEGENDA:</t>
  </si>
  <si>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MB - Město Beroun.</t>
    </r>
  </si>
  <si>
    <r>
      <rPr>
        <vertAlign val="superscript"/>
        <sz val="12"/>
        <color theme="1"/>
        <rFont val="Calibri"/>
        <family val="2"/>
        <charset val="238"/>
        <scheme val="minor"/>
      </rPr>
      <t>3</t>
    </r>
    <r>
      <rPr>
        <sz val="12"/>
        <color theme="1"/>
        <rFont val="Calibri"/>
        <family val="2"/>
        <charset val="238"/>
        <scheme val="minor"/>
      </rPr>
      <t xml:space="preserve"> Ing. Vojtěch Karpíšek nahrazuje od roku 2019 Mgr. Marii Holečkovou v roli organizátora zmíněného cyklu besed.</t>
    </r>
  </si>
  <si>
    <r>
      <t>dotace MB</t>
    </r>
    <r>
      <rPr>
        <vertAlign val="superscript"/>
        <sz val="14"/>
        <color theme="1"/>
        <rFont val="Calibri"/>
        <family val="2"/>
        <charset val="238"/>
        <scheme val="minor"/>
      </rPr>
      <t>2</t>
    </r>
    <r>
      <rPr>
        <sz val="14"/>
        <color theme="1"/>
        <rFont val="Calibri"/>
        <family val="2"/>
        <charset val="238"/>
        <scheme val="minor"/>
      </rPr>
      <t xml:space="preserve"> 2017 celkem</t>
    </r>
  </si>
  <si>
    <r>
      <t>Ing. Vojtěch Karpíšek</t>
    </r>
    <r>
      <rPr>
        <b/>
        <vertAlign val="superscript"/>
        <sz val="14"/>
        <rFont val="Calibri"/>
        <family val="2"/>
        <charset val="238"/>
        <scheme val="minor"/>
      </rPr>
      <t>3</t>
    </r>
  </si>
  <si>
    <t>dotace MB 2019 celkem</t>
  </si>
  <si>
    <t>dotace MB 2018 na daný projekt</t>
  </si>
  <si>
    <t>dotace MB 2019 na daný projekt</t>
  </si>
  <si>
    <t xml:space="preserve">Mgr. Robert Štolba </t>
  </si>
  <si>
    <t>DOTACE NA KULTURNÍ ČINNOST VE MĚSTĚ BEROUN PRO ROK 2021</t>
  </si>
  <si>
    <t>Vánoční koncert, Big band Václava Zelinky</t>
  </si>
  <si>
    <t>požadavek na dotaci 2021</t>
  </si>
  <si>
    <t>Jungmannova základní škola Beroun</t>
  </si>
  <si>
    <t>Stranou, z.s.</t>
  </si>
  <si>
    <t>Kultura v Jiné kávě 2021</t>
  </si>
  <si>
    <t>Tatínkovo divadélko</t>
  </si>
  <si>
    <t>Koncert pro rodiny s dětmi</t>
  </si>
  <si>
    <t>Celoroční koncertní program pěveckého sboru Bonbon</t>
  </si>
  <si>
    <t>Taneční Klub Romany Chvátalové s.r.o.</t>
  </si>
  <si>
    <t>Velká cena města Berouna - 24. ročník</t>
  </si>
  <si>
    <t>Kruh přátel výtvarného umění Beroun - spolek</t>
  </si>
  <si>
    <t>Plán akcí KPVU Beroun na rok 2021</t>
  </si>
  <si>
    <t>RNDr. Irena Bucharová</t>
  </si>
  <si>
    <t>Charita Beroun</t>
  </si>
  <si>
    <t>Adventní koncert, vystoupení Allegro Noc Brio</t>
  </si>
  <si>
    <t>Kulturní pořady pro nejmenší</t>
  </si>
  <si>
    <t>Klubové večery Modrýho Berouna 2020</t>
  </si>
  <si>
    <t>Cestovatelské večery Modrýho Berouna 2020</t>
  </si>
  <si>
    <t>%</t>
  </si>
  <si>
    <r>
      <rPr>
        <vertAlign val="super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 xml:space="preserve"> Zeleně jsou zvýrazněny víceleté projekty.</t>
    </r>
  </si>
  <si>
    <t>FINANČNÍ PROSTŘEDKY PRO ROK 2021</t>
  </si>
  <si>
    <t xml:space="preserve">ROZDĚLENÉ DOTACE </t>
  </si>
  <si>
    <t>REKAPITULACE - ROK 2021</t>
  </si>
  <si>
    <t>ŽÁDOSTI O DOTACE 2021 - VÝSLEDEK JEDNÁNÍ KOMISE PRO KULTURU A KULTURNÍ DOTACE</t>
  </si>
  <si>
    <t>Ústav Antonína Dvořáka pro kulturní život seniorů</t>
  </si>
  <si>
    <t>MUSIC FOR SENIORS</t>
  </si>
  <si>
    <t>Koncertní činnost v roce 2021</t>
  </si>
  <si>
    <t>Farní sbor Českobratrské církve evangelické v Berouně</t>
  </si>
  <si>
    <t>Evangelíci všem generacím v Berouně</t>
  </si>
  <si>
    <t>Čímtačára, z.s.</t>
  </si>
  <si>
    <t>On-line galerie - soutěžní přehlídka</t>
  </si>
  <si>
    <t>Berounská dechová hudba Vladimíra Mužíka</t>
  </si>
  <si>
    <t>Kultura s DDM</t>
  </si>
  <si>
    <t>Jungmannka hledá Slavíčka, Vánoční koncert</t>
  </si>
  <si>
    <t>Lost Heaven s.r.o.</t>
  </si>
  <si>
    <t>Galerie Výtvarného umění Pěkná</t>
  </si>
  <si>
    <t>Berounský FOTOBLÁZINEC – 8. ročník 
přesunutý termín z r.2020</t>
  </si>
  <si>
    <t>Mgr. Marie Holečková</t>
  </si>
  <si>
    <t>Beroun na křižovatkách cest</t>
  </si>
  <si>
    <t>MgA. Terezie Dudová</t>
  </si>
  <si>
    <t>Ples Dobré vůle Charity Beroun</t>
  </si>
  <si>
    <t>Mgr. Jana Daňková Skořepová</t>
  </si>
  <si>
    <t>S MIMEM ZA TANCEM</t>
  </si>
  <si>
    <t>TC R.A.K.</t>
  </si>
  <si>
    <t>Nadační fond Gaudeamus</t>
  </si>
  <si>
    <t>XXIX. ročník Dějepisné soutěže studentů gymnázií České a Slovenské republiky</t>
  </si>
  <si>
    <t>Podpora umělecké činnosti žáků ZUŠ V. Talicha</t>
  </si>
  <si>
    <t>Příměstské výtvarně-dramatické tábory</t>
  </si>
  <si>
    <t>BEROUNSKÝ POULIČNÍ FESTIVAL hudba - jídlo - pivo</t>
  </si>
  <si>
    <t>Bc. Martin Koťátko, DiS.</t>
  </si>
  <si>
    <t>Fotografická výstava "Street ART"</t>
  </si>
  <si>
    <t>MOP Trilobit</t>
  </si>
  <si>
    <t>Práce s dětmi / Den dětí</t>
  </si>
  <si>
    <t>Jan Berdych</t>
  </si>
  <si>
    <t>Setkávání v muzeu 2021</t>
  </si>
  <si>
    <t>Muzejní noc na téma "ANTIKA"</t>
  </si>
  <si>
    <t>Metro Club Beroun 2021</t>
  </si>
  <si>
    <t xml:space="preserve">Projekty, které získaly více jak 45 bodů, obdržely 100 % požadované dotace. </t>
  </si>
  <si>
    <t>Modrej Beroun, z.s.</t>
  </si>
  <si>
    <r>
      <rPr>
        <vertAlign val="superscript"/>
        <sz val="12"/>
        <color theme="1"/>
        <rFont val="Calibri"/>
        <family val="2"/>
        <charset val="238"/>
        <scheme val="minor"/>
      </rPr>
      <t xml:space="preserve">4 </t>
    </r>
    <r>
      <rPr>
        <sz val="12"/>
        <color theme="1"/>
        <rFont val="Calibri"/>
        <family val="2"/>
        <charset val="238"/>
        <scheme val="minor"/>
      </rPr>
      <t>Bc. Martin Mayer v roce 2020 převzal od pana Berdycha provoz Metro clubu Beroun.</t>
    </r>
  </si>
  <si>
    <r>
      <t>Bc. Martin Mayer</t>
    </r>
    <r>
      <rPr>
        <b/>
        <vertAlign val="superscript"/>
        <sz val="14"/>
        <color theme="1"/>
        <rFont val="Calibri"/>
        <family val="2"/>
        <charset val="238"/>
        <scheme val="minor"/>
      </rPr>
      <t>4</t>
    </r>
  </si>
  <si>
    <t xml:space="preserve">Projekty č. 1, 17, 24 byly z hodnocení vyřazeny pro nesplnění cíle dotačního programu a žadatelům bude doporučeno zažádat si o dotaci v rámci položky rozpočtu "dotace zájmovým organizacím". </t>
  </si>
  <si>
    <t>NÁVRH KK (před zaokrouhlením)</t>
  </si>
  <si>
    <t>NÁVRH KK (po zaokrouhlení na celé stovky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</si>
</sst>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4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vertAlign val="superscript"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153">
    <xf numFmtId="0" fontId="0" fillId="0" borderId="0" xfId="0"/>
    <xf numFmtId="164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164" fontId="3" fillId="2" borderId="6" xfId="0" applyNumberFormat="1" applyFont="1" applyFill="1" applyBorder="1" applyAlignment="1">
      <alignment horizontal="center"/>
    </xf>
    <xf numFmtId="0" fontId="0" fillId="5" borderId="0" xfId="0" applyFill="1"/>
    <xf numFmtId="0" fontId="13" fillId="5" borderId="0" xfId="0" applyFont="1" applyFill="1"/>
    <xf numFmtId="0" fontId="0" fillId="2" borderId="6" xfId="0" applyFill="1" applyBorder="1" applyAlignment="1"/>
    <xf numFmtId="0" fontId="6" fillId="0" borderId="0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/>
    </xf>
    <xf numFmtId="164" fontId="18" fillId="2" borderId="20" xfId="0" applyNumberFormat="1" applyFont="1" applyFill="1" applyBorder="1"/>
    <xf numFmtId="0" fontId="3" fillId="2" borderId="8" xfId="0" applyFont="1" applyFill="1" applyBorder="1" applyAlignment="1">
      <alignment horizontal="center"/>
    </xf>
    <xf numFmtId="164" fontId="3" fillId="0" borderId="24" xfId="0" applyNumberFormat="1" applyFont="1" applyBorder="1"/>
    <xf numFmtId="0" fontId="2" fillId="5" borderId="25" xfId="0" applyFont="1" applyFill="1" applyBorder="1" applyAlignment="1">
      <alignment horizontal="left" vertical="center" indent="3"/>
    </xf>
    <xf numFmtId="0" fontId="2" fillId="5" borderId="25" xfId="0" applyFont="1" applyFill="1" applyBorder="1" applyAlignment="1">
      <alignment horizontal="left" vertical="center" wrapText="1" indent="3"/>
    </xf>
    <xf numFmtId="0" fontId="0" fillId="0" borderId="28" xfId="0" applyBorder="1"/>
    <xf numFmtId="0" fontId="3" fillId="0" borderId="29" xfId="0" applyFont="1" applyBorder="1"/>
    <xf numFmtId="0" fontId="0" fillId="0" borderId="30" xfId="0" applyBorder="1"/>
    <xf numFmtId="0" fontId="3" fillId="0" borderId="25" xfId="0" applyFont="1" applyBorder="1"/>
    <xf numFmtId="164" fontId="3" fillId="0" borderId="31" xfId="0" applyNumberFormat="1" applyFont="1" applyBorder="1"/>
    <xf numFmtId="164" fontId="2" fillId="0" borderId="31" xfId="0" applyNumberFormat="1" applyFont="1" applyBorder="1"/>
    <xf numFmtId="0" fontId="2" fillId="5" borderId="32" xfId="0" applyFont="1" applyFill="1" applyBorder="1" applyAlignment="1">
      <alignment horizontal="left" vertical="center" indent="3"/>
    </xf>
    <xf numFmtId="164" fontId="2" fillId="0" borderId="34" xfId="0" applyNumberFormat="1" applyFont="1" applyBorder="1"/>
    <xf numFmtId="0" fontId="7" fillId="0" borderId="26" xfId="0" applyFont="1" applyBorder="1"/>
    <xf numFmtId="0" fontId="0" fillId="0" borderId="35" xfId="0" applyBorder="1"/>
    <xf numFmtId="164" fontId="7" fillId="0" borderId="27" xfId="0" applyNumberFormat="1" applyFont="1" applyBorder="1"/>
    <xf numFmtId="0" fontId="2" fillId="0" borderId="28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3" fillId="2" borderId="20" xfId="0" applyFont="1" applyFill="1" applyBorder="1" applyAlignment="1"/>
    <xf numFmtId="0" fontId="3" fillId="2" borderId="8" xfId="0" applyFont="1" applyFill="1" applyBorder="1" applyAlignment="1"/>
    <xf numFmtId="0" fontId="2" fillId="5" borderId="1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right" vertical="center"/>
    </xf>
    <xf numFmtId="164" fontId="2" fillId="5" borderId="8" xfId="0" applyNumberFormat="1" applyFont="1" applyFill="1" applyBorder="1" applyAlignment="1">
      <alignment horizontal="right" vertical="center"/>
    </xf>
    <xf numFmtId="164" fontId="3" fillId="5" borderId="8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/>
    </xf>
    <xf numFmtId="9" fontId="2" fillId="5" borderId="1" xfId="1" applyFont="1" applyFill="1" applyBorder="1" applyAlignment="1">
      <alignment horizontal="center" vertical="center"/>
    </xf>
    <xf numFmtId="164" fontId="2" fillId="5" borderId="20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right" vertical="center"/>
    </xf>
    <xf numFmtId="164" fontId="2" fillId="5" borderId="0" xfId="0" applyNumberFormat="1" applyFont="1" applyFill="1" applyBorder="1" applyAlignment="1">
      <alignment horizontal="right" vertical="center"/>
    </xf>
    <xf numFmtId="164" fontId="2" fillId="5" borderId="15" xfId="0" applyNumberFormat="1" applyFont="1" applyFill="1" applyBorder="1" applyAlignment="1">
      <alignment horizontal="right" vertical="center"/>
    </xf>
    <xf numFmtId="164" fontId="3" fillId="5" borderId="0" xfId="0" applyNumberFormat="1" applyFont="1" applyFill="1" applyBorder="1" applyAlignment="1">
      <alignment horizontal="right" vertical="center"/>
    </xf>
    <xf numFmtId="0" fontId="3" fillId="5" borderId="5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164" fontId="2" fillId="5" borderId="13" xfId="0" applyNumberFormat="1" applyFont="1" applyFill="1" applyBorder="1" applyAlignment="1">
      <alignment horizontal="right" vertical="center"/>
    </xf>
    <xf numFmtId="164" fontId="3" fillId="5" borderId="9" xfId="0" applyNumberFormat="1" applyFont="1" applyFill="1" applyBorder="1" applyAlignment="1">
      <alignment horizontal="right" vertical="center"/>
    </xf>
    <xf numFmtId="0" fontId="3" fillId="5" borderId="13" xfId="0" applyFont="1" applyFill="1" applyBorder="1" applyAlignment="1">
      <alignment horizontal="center" vertical="center"/>
    </xf>
    <xf numFmtId="9" fontId="2" fillId="5" borderId="13" xfId="1" applyFont="1" applyFill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right" vertical="center"/>
    </xf>
    <xf numFmtId="0" fontId="2" fillId="5" borderId="10" xfId="0" applyFont="1" applyFill="1" applyBorder="1" applyAlignment="1">
      <alignment horizontal="center" vertical="center"/>
    </xf>
    <xf numFmtId="164" fontId="2" fillId="5" borderId="14" xfId="0" applyNumberFormat="1" applyFont="1" applyFill="1" applyBorder="1" applyAlignment="1">
      <alignment horizontal="right" vertical="center"/>
    </xf>
    <xf numFmtId="164" fontId="3" fillId="5" borderId="10" xfId="0" applyNumberFormat="1" applyFont="1" applyFill="1" applyBorder="1" applyAlignment="1">
      <alignment horizontal="right" vertical="center"/>
    </xf>
    <xf numFmtId="0" fontId="3" fillId="5" borderId="14" xfId="0" applyFont="1" applyFill="1" applyBorder="1" applyAlignment="1">
      <alignment horizontal="center" vertical="center"/>
    </xf>
    <xf numFmtId="9" fontId="2" fillId="5" borderId="15" xfId="1" applyFont="1" applyFill="1" applyBorder="1" applyAlignment="1">
      <alignment horizontal="center" vertical="center"/>
    </xf>
    <xf numFmtId="164" fontId="2" fillId="5" borderId="21" xfId="0" applyNumberFormat="1" applyFont="1" applyFill="1" applyBorder="1" applyAlignment="1">
      <alignment horizontal="right" vertical="center"/>
    </xf>
    <xf numFmtId="0" fontId="3" fillId="5" borderId="6" xfId="0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right" vertical="center"/>
    </xf>
    <xf numFmtId="164" fontId="12" fillId="5" borderId="8" xfId="0" applyNumberFormat="1" applyFont="1" applyFill="1" applyBorder="1" applyAlignment="1">
      <alignment horizontal="right" vertical="center"/>
    </xf>
    <xf numFmtId="0" fontId="2" fillId="5" borderId="20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vertical="center"/>
    </xf>
    <xf numFmtId="0" fontId="2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right" vertical="center"/>
    </xf>
    <xf numFmtId="164" fontId="3" fillId="5" borderId="19" xfId="0" applyNumberFormat="1" applyFont="1" applyFill="1" applyBorder="1" applyAlignment="1">
      <alignment horizontal="right" vertical="center"/>
    </xf>
    <xf numFmtId="0" fontId="2" fillId="5" borderId="18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9" fontId="2" fillId="5" borderId="3" xfId="1" applyFont="1" applyFill="1" applyBorder="1" applyAlignment="1">
      <alignment horizontal="center" vertical="center"/>
    </xf>
    <xf numFmtId="164" fontId="2" fillId="5" borderId="37" xfId="0" applyNumberFormat="1" applyFont="1" applyFill="1" applyBorder="1" applyAlignment="1">
      <alignment horizontal="right" vertical="center"/>
    </xf>
    <xf numFmtId="0" fontId="3" fillId="5" borderId="4" xfId="0" applyFont="1" applyFill="1" applyBorder="1" applyAlignment="1">
      <alignment horizontal="center" vertical="center"/>
    </xf>
    <xf numFmtId="9" fontId="2" fillId="5" borderId="4" xfId="1" applyFont="1" applyFill="1" applyBorder="1" applyAlignment="1">
      <alignment horizontal="center" vertical="center"/>
    </xf>
    <xf numFmtId="164" fontId="2" fillId="5" borderId="22" xfId="0" applyNumberFormat="1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164" fontId="2" fillId="5" borderId="17" xfId="0" applyNumberFormat="1" applyFont="1" applyFill="1" applyBorder="1" applyAlignment="1">
      <alignment horizontal="right" vertical="center"/>
    </xf>
    <xf numFmtId="164" fontId="3" fillId="5" borderId="17" xfId="0" applyNumberFormat="1" applyFont="1" applyFill="1" applyBorder="1" applyAlignment="1">
      <alignment horizontal="right" vertical="center"/>
    </xf>
    <xf numFmtId="0" fontId="2" fillId="5" borderId="17" xfId="0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vertical="center"/>
    </xf>
    <xf numFmtId="164" fontId="3" fillId="5" borderId="20" xfId="0" applyNumberFormat="1" applyFont="1" applyFill="1" applyBorder="1" applyAlignment="1">
      <alignment horizontal="right" vertical="center"/>
    </xf>
    <xf numFmtId="0" fontId="2" fillId="5" borderId="13" xfId="0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12" fillId="5" borderId="36" xfId="0" applyFont="1" applyFill="1" applyBorder="1" applyAlignment="1">
      <alignment horizontal="center" vertical="center"/>
    </xf>
    <xf numFmtId="164" fontId="12" fillId="5" borderId="2" xfId="0" applyNumberFormat="1" applyFont="1" applyFill="1" applyBorder="1" applyAlignment="1">
      <alignment vertical="center"/>
    </xf>
    <xf numFmtId="164" fontId="12" fillId="5" borderId="2" xfId="0" applyNumberFormat="1" applyFont="1" applyFill="1" applyBorder="1" applyAlignment="1">
      <alignment horizontal="right" vertical="center"/>
    </xf>
    <xf numFmtId="164" fontId="8" fillId="5" borderId="9" xfId="0" applyNumberFormat="1" applyFont="1" applyFill="1" applyBorder="1" applyAlignment="1">
      <alignment horizontal="right" vertical="center"/>
    </xf>
    <xf numFmtId="164" fontId="12" fillId="5" borderId="13" xfId="0" applyNumberFormat="1" applyFont="1" applyFill="1" applyBorder="1" applyAlignment="1">
      <alignment horizontal="right" vertical="center"/>
    </xf>
    <xf numFmtId="0" fontId="8" fillId="5" borderId="13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/>
    <xf numFmtId="0" fontId="3" fillId="5" borderId="2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3" fillId="0" borderId="11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3" fillId="0" borderId="12" xfId="0" applyNumberFormat="1" applyFont="1" applyFill="1" applyBorder="1" applyAlignment="1">
      <alignment horizontal="right" vertical="center"/>
    </xf>
    <xf numFmtId="164" fontId="12" fillId="5" borderId="5" xfId="0" applyNumberFormat="1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right" vertical="center"/>
    </xf>
    <xf numFmtId="0" fontId="3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164" fontId="2" fillId="5" borderId="15" xfId="0" applyNumberFormat="1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right" vertical="center"/>
    </xf>
    <xf numFmtId="164" fontId="2" fillId="5" borderId="15" xfId="0" applyNumberFormat="1" applyFont="1" applyFill="1" applyBorder="1" applyAlignment="1">
      <alignment horizontal="right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 applyBorder="1" applyAlignment="1">
      <alignment vertical="center"/>
    </xf>
    <xf numFmtId="0" fontId="3" fillId="6" borderId="1" xfId="0" applyFont="1" applyFill="1" applyBorder="1" applyAlignment="1">
      <alignment horizontal="center" vertical="center" wrapText="1"/>
    </xf>
    <xf numFmtId="7" fontId="3" fillId="6" borderId="1" xfId="2" applyNumberFormat="1" applyFont="1" applyFill="1" applyBorder="1"/>
    <xf numFmtId="7" fontId="3" fillId="6" borderId="13" xfId="2" applyNumberFormat="1" applyFont="1" applyFill="1" applyBorder="1"/>
    <xf numFmtId="7" fontId="3" fillId="6" borderId="14" xfId="2" applyNumberFormat="1" applyFont="1" applyFill="1" applyBorder="1"/>
    <xf numFmtId="7" fontId="3" fillId="6" borderId="3" xfId="2" applyNumberFormat="1" applyFont="1" applyFill="1" applyBorder="1"/>
    <xf numFmtId="7" fontId="3" fillId="6" borderId="4" xfId="2" applyNumberFormat="1" applyFont="1" applyFill="1" applyBorder="1"/>
    <xf numFmtId="7" fontId="3" fillId="6" borderId="1" xfId="2" applyNumberFormat="1" applyFont="1" applyFill="1" applyBorder="1" applyAlignment="1">
      <alignment vertical="center"/>
    </xf>
    <xf numFmtId="7" fontId="3" fillId="6" borderId="15" xfId="2" applyNumberFormat="1" applyFont="1" applyFill="1" applyBorder="1"/>
    <xf numFmtId="7" fontId="3" fillId="6" borderId="13" xfId="2" applyNumberFormat="1" applyFont="1" applyFill="1" applyBorder="1" applyAlignment="1">
      <alignment vertical="center"/>
    </xf>
    <xf numFmtId="7" fontId="7" fillId="6" borderId="15" xfId="2" applyNumberFormat="1" applyFont="1" applyFill="1" applyBorder="1"/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4"/>
  <sheetViews>
    <sheetView tabSelected="1" zoomScale="60" zoomScaleNormal="60" workbookViewId="0">
      <pane xSplit="1" ySplit="3" topLeftCell="B19" activePane="bottomRight" state="frozen"/>
      <selection pane="topRight" activeCell="B1" sqref="B1"/>
      <selection pane="bottomLeft" activeCell="A4" sqref="A4"/>
      <selection pane="bottomRight" activeCell="A41" sqref="A40:A41"/>
    </sheetView>
  </sheetViews>
  <sheetFormatPr defaultRowHeight="15" x14ac:dyDescent="0.25"/>
  <cols>
    <col min="1" max="1" width="6.28515625" customWidth="1"/>
    <col min="2" max="2" width="61.85546875" customWidth="1"/>
    <col min="3" max="3" width="55.28515625" customWidth="1"/>
    <col min="4" max="4" width="19.42578125" bestFit="1" customWidth="1"/>
    <col min="5" max="5" width="17.5703125" bestFit="1" customWidth="1"/>
    <col min="6" max="6" width="18.5703125" bestFit="1" customWidth="1"/>
    <col min="7" max="8" width="17.5703125" bestFit="1" customWidth="1"/>
    <col min="9" max="10" width="18.7109375" customWidth="1"/>
    <col min="11" max="12" width="18" customWidth="1"/>
    <col min="13" max="13" width="18.7109375" customWidth="1"/>
    <col min="14" max="14" width="20.140625" customWidth="1"/>
  </cols>
  <sheetData>
    <row r="1" spans="1:14" ht="25.5" customHeight="1" x14ac:dyDescent="0.25">
      <c r="A1" s="129" t="s">
        <v>54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ht="24.75" customHeight="1" thickBot="1" x14ac:dyDescent="0.3">
      <c r="A2" s="131" t="s">
        <v>30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4" ht="66" customHeight="1" thickBot="1" x14ac:dyDescent="0.3">
      <c r="A3" s="2" t="s">
        <v>0</v>
      </c>
      <c r="B3" s="3" t="s">
        <v>1</v>
      </c>
      <c r="C3" s="4" t="s">
        <v>4</v>
      </c>
      <c r="D3" s="5" t="s">
        <v>24</v>
      </c>
      <c r="E3" s="6" t="s">
        <v>10</v>
      </c>
      <c r="F3" s="5" t="s">
        <v>27</v>
      </c>
      <c r="G3" s="5" t="s">
        <v>26</v>
      </c>
      <c r="H3" s="5" t="s">
        <v>28</v>
      </c>
      <c r="I3" s="7" t="s">
        <v>32</v>
      </c>
      <c r="J3" s="5" t="s">
        <v>2</v>
      </c>
      <c r="K3" s="8" t="s">
        <v>3</v>
      </c>
      <c r="L3" s="22" t="s">
        <v>49</v>
      </c>
      <c r="M3" s="6" t="s">
        <v>93</v>
      </c>
      <c r="N3" s="143" t="s">
        <v>94</v>
      </c>
    </row>
    <row r="4" spans="1:14" s="17" customFormat="1" ht="20.100000000000001" customHeight="1" thickBot="1" x14ac:dyDescent="0.35">
      <c r="A4" s="44">
        <v>1</v>
      </c>
      <c r="B4" s="45" t="s">
        <v>20</v>
      </c>
      <c r="C4" s="46" t="s">
        <v>63</v>
      </c>
      <c r="D4" s="74">
        <v>23520</v>
      </c>
      <c r="E4" s="48">
        <f>15500+15000</f>
        <v>30500</v>
      </c>
      <c r="F4" s="47">
        <v>15500</v>
      </c>
      <c r="G4" s="47">
        <f>12100+18000</f>
        <v>30100</v>
      </c>
      <c r="H4" s="47">
        <v>18000</v>
      </c>
      <c r="I4" s="49">
        <v>149990</v>
      </c>
      <c r="J4" s="47">
        <v>199330</v>
      </c>
      <c r="K4" s="50">
        <v>0</v>
      </c>
      <c r="L4" s="51">
        <f>IF(K4&lt;20,0,K4/50)</f>
        <v>0</v>
      </c>
      <c r="M4" s="52">
        <f>I4*L4</f>
        <v>0</v>
      </c>
      <c r="N4" s="144">
        <f>ROUND(M4,-2)</f>
        <v>0</v>
      </c>
    </row>
    <row r="5" spans="1:14" s="17" customFormat="1" ht="20.100000000000001" customHeight="1" thickBot="1" x14ac:dyDescent="0.35">
      <c r="A5" s="44">
        <v>2</v>
      </c>
      <c r="B5" s="45" t="s">
        <v>55</v>
      </c>
      <c r="C5" s="46" t="s">
        <v>56</v>
      </c>
      <c r="D5" s="47" t="s">
        <v>9</v>
      </c>
      <c r="E5" s="48" t="s">
        <v>9</v>
      </c>
      <c r="F5" s="47" t="s">
        <v>9</v>
      </c>
      <c r="G5" s="47" t="s">
        <v>9</v>
      </c>
      <c r="H5" s="47" t="s">
        <v>9</v>
      </c>
      <c r="I5" s="49">
        <v>27000</v>
      </c>
      <c r="J5" s="47">
        <v>30000</v>
      </c>
      <c r="K5" s="50">
        <f>(35+40+40+34+30+42)/6</f>
        <v>36.833333333333336</v>
      </c>
      <c r="L5" s="51">
        <f t="shared" ref="L5:L7" si="0">IF(K5&lt;20,0,K5/50)</f>
        <v>0.73666666666666669</v>
      </c>
      <c r="M5" s="52">
        <f t="shared" ref="M5:M7" si="1">I5*L5</f>
        <v>19890</v>
      </c>
      <c r="N5" s="144">
        <f t="shared" ref="N5:N7" si="2">ROUND(M5,-2)</f>
        <v>19900</v>
      </c>
    </row>
    <row r="6" spans="1:14" s="17" customFormat="1" ht="20.100000000000001" customHeight="1" thickBot="1" x14ac:dyDescent="0.35">
      <c r="A6" s="44">
        <v>3</v>
      </c>
      <c r="B6" s="45" t="s">
        <v>58</v>
      </c>
      <c r="C6" s="46" t="s">
        <v>59</v>
      </c>
      <c r="D6" s="47">
        <v>18400</v>
      </c>
      <c r="E6" s="48" t="s">
        <v>9</v>
      </c>
      <c r="F6" s="47" t="s">
        <v>9</v>
      </c>
      <c r="G6" s="47" t="s">
        <v>9</v>
      </c>
      <c r="H6" s="47" t="s">
        <v>9</v>
      </c>
      <c r="I6" s="49">
        <v>46890</v>
      </c>
      <c r="J6" s="47">
        <v>68115.600000000006</v>
      </c>
      <c r="K6" s="50">
        <f>(20+44+30+20+25+45)/6</f>
        <v>30.666666666666668</v>
      </c>
      <c r="L6" s="51">
        <f t="shared" si="0"/>
        <v>0.6133333333333334</v>
      </c>
      <c r="M6" s="52">
        <v>6500</v>
      </c>
      <c r="N6" s="144">
        <f t="shared" si="2"/>
        <v>6500</v>
      </c>
    </row>
    <row r="7" spans="1:14" s="17" customFormat="1" ht="20.100000000000001" customHeight="1" thickBot="1" x14ac:dyDescent="0.35">
      <c r="A7" s="44">
        <v>4</v>
      </c>
      <c r="B7" s="45" t="s">
        <v>60</v>
      </c>
      <c r="C7" s="46" t="s">
        <v>61</v>
      </c>
      <c r="D7" s="47" t="s">
        <v>9</v>
      </c>
      <c r="E7" s="48" t="s">
        <v>9</v>
      </c>
      <c r="F7" s="47" t="s">
        <v>9</v>
      </c>
      <c r="G7" s="47" t="s">
        <v>9</v>
      </c>
      <c r="H7" s="47" t="s">
        <v>9</v>
      </c>
      <c r="I7" s="49">
        <v>56000</v>
      </c>
      <c r="J7" s="47">
        <v>134330</v>
      </c>
      <c r="K7" s="50">
        <f>(38+44+40+40+40+40)/6</f>
        <v>40.333333333333336</v>
      </c>
      <c r="L7" s="51">
        <f t="shared" si="0"/>
        <v>0.80666666666666675</v>
      </c>
      <c r="M7" s="52">
        <f t="shared" si="1"/>
        <v>45173.333333333336</v>
      </c>
      <c r="N7" s="144">
        <f t="shared" si="2"/>
        <v>45200</v>
      </c>
    </row>
    <row r="8" spans="1:14" s="17" customFormat="1" ht="20.100000000000001" customHeight="1" thickBot="1" x14ac:dyDescent="0.35">
      <c r="A8" s="53">
        <v>5</v>
      </c>
      <c r="B8" s="54" t="s">
        <v>25</v>
      </c>
      <c r="C8" s="55" t="s">
        <v>12</v>
      </c>
      <c r="D8" s="118">
        <v>35520</v>
      </c>
      <c r="E8" s="57">
        <v>9450</v>
      </c>
      <c r="F8" s="56">
        <v>9450</v>
      </c>
      <c r="G8" s="56">
        <v>28800</v>
      </c>
      <c r="H8" s="58">
        <v>28800</v>
      </c>
      <c r="I8" s="59">
        <v>45900</v>
      </c>
      <c r="J8" s="56">
        <v>51000</v>
      </c>
      <c r="K8" s="60">
        <f>(45+50+50+43+48+46)/6</f>
        <v>47</v>
      </c>
      <c r="L8" s="51">
        <f t="shared" ref="L8:L31" si="3">IF(K8&lt;20,0,K8/50)</f>
        <v>0.94</v>
      </c>
      <c r="M8" s="52">
        <v>45900</v>
      </c>
      <c r="N8" s="144">
        <f t="shared" ref="N8:N31" si="4">ROUND(M8,-2)</f>
        <v>45900</v>
      </c>
    </row>
    <row r="9" spans="1:14" s="17" customFormat="1" ht="19.5" customHeight="1" x14ac:dyDescent="0.3">
      <c r="A9" s="137">
        <v>6</v>
      </c>
      <c r="B9" s="139" t="s">
        <v>5</v>
      </c>
      <c r="C9" s="61" t="s">
        <v>36</v>
      </c>
      <c r="D9" s="135">
        <v>4800</v>
      </c>
      <c r="E9" s="135">
        <f>14400+9200+9200</f>
        <v>32800</v>
      </c>
      <c r="F9" s="62">
        <v>14400</v>
      </c>
      <c r="G9" s="133">
        <f>16800+20000</f>
        <v>36800</v>
      </c>
      <c r="H9" s="62">
        <v>8000</v>
      </c>
      <c r="I9" s="63">
        <v>9900</v>
      </c>
      <c r="J9" s="62">
        <v>11000</v>
      </c>
      <c r="K9" s="64">
        <f>(40+34+30+35+31+42)/6</f>
        <v>35.333333333333336</v>
      </c>
      <c r="L9" s="65">
        <f t="shared" si="3"/>
        <v>0.70666666666666667</v>
      </c>
      <c r="M9" s="66">
        <f t="shared" ref="M9:M30" si="5">I9*L9</f>
        <v>6996</v>
      </c>
      <c r="N9" s="145">
        <f t="shared" si="4"/>
        <v>7000</v>
      </c>
    </row>
    <row r="10" spans="1:14" s="17" customFormat="1" ht="20.100000000000001" customHeight="1" thickBot="1" x14ac:dyDescent="0.35">
      <c r="A10" s="138"/>
      <c r="B10" s="140"/>
      <c r="C10" s="67" t="s">
        <v>37</v>
      </c>
      <c r="D10" s="136"/>
      <c r="E10" s="136"/>
      <c r="F10" s="68">
        <v>9200</v>
      </c>
      <c r="G10" s="134"/>
      <c r="H10" s="58">
        <v>8800</v>
      </c>
      <c r="I10" s="69">
        <v>9900</v>
      </c>
      <c r="J10" s="68">
        <v>11000</v>
      </c>
      <c r="K10" s="70">
        <f>(40+42+35+33+31+42)/6</f>
        <v>37.166666666666664</v>
      </c>
      <c r="L10" s="71">
        <f t="shared" si="3"/>
        <v>0.74333333333333329</v>
      </c>
      <c r="M10" s="72">
        <f t="shared" si="5"/>
        <v>7359</v>
      </c>
      <c r="N10" s="146">
        <f t="shared" si="4"/>
        <v>7400</v>
      </c>
    </row>
    <row r="11" spans="1:14" s="17" customFormat="1" ht="20.100000000000001" customHeight="1" thickBot="1" x14ac:dyDescent="0.35">
      <c r="A11" s="44">
        <v>7</v>
      </c>
      <c r="B11" s="73" t="s">
        <v>70</v>
      </c>
      <c r="C11" s="46" t="s">
        <v>7</v>
      </c>
      <c r="D11" s="74" t="s">
        <v>9</v>
      </c>
      <c r="E11" s="75">
        <v>93000</v>
      </c>
      <c r="F11" s="74">
        <v>93000</v>
      </c>
      <c r="G11" s="74">
        <v>78000</v>
      </c>
      <c r="H11" s="74">
        <v>78000</v>
      </c>
      <c r="I11" s="49">
        <v>95000</v>
      </c>
      <c r="J11" s="47">
        <v>395000</v>
      </c>
      <c r="K11" s="50">
        <f>(40+48+40+35+47+42)/6</f>
        <v>42</v>
      </c>
      <c r="L11" s="51">
        <f t="shared" si="3"/>
        <v>0.84</v>
      </c>
      <c r="M11" s="52">
        <f t="shared" si="5"/>
        <v>79800</v>
      </c>
      <c r="N11" s="144">
        <f t="shared" si="4"/>
        <v>79800</v>
      </c>
    </row>
    <row r="12" spans="1:14" s="17" customFormat="1" ht="20.100000000000001" customHeight="1" thickBot="1" x14ac:dyDescent="0.35">
      <c r="A12" s="44">
        <v>8</v>
      </c>
      <c r="B12" s="50" t="s">
        <v>8</v>
      </c>
      <c r="C12" s="76" t="s">
        <v>38</v>
      </c>
      <c r="D12" s="77">
        <v>25840</v>
      </c>
      <c r="E12" s="77">
        <f>37400+11600</f>
        <v>49000</v>
      </c>
      <c r="F12" s="47">
        <v>37400</v>
      </c>
      <c r="G12" s="77">
        <f>36800+9700</f>
        <v>46500</v>
      </c>
      <c r="H12" s="47">
        <v>36800</v>
      </c>
      <c r="I12" s="49">
        <v>48000</v>
      </c>
      <c r="J12" s="47">
        <v>54800</v>
      </c>
      <c r="K12" s="64">
        <f>(45+48+45+45+32)/5</f>
        <v>43</v>
      </c>
      <c r="L12" s="51">
        <f t="shared" si="3"/>
        <v>0.86</v>
      </c>
      <c r="M12" s="52">
        <f t="shared" si="5"/>
        <v>41280</v>
      </c>
      <c r="N12" s="144">
        <f t="shared" si="4"/>
        <v>41300</v>
      </c>
    </row>
    <row r="13" spans="1:14" s="17" customFormat="1" ht="20.100000000000001" customHeight="1" thickBot="1" x14ac:dyDescent="0.35">
      <c r="A13" s="78">
        <v>9</v>
      </c>
      <c r="B13" s="79" t="s">
        <v>91</v>
      </c>
      <c r="C13" s="80" t="s">
        <v>87</v>
      </c>
      <c r="D13" s="81">
        <v>120000</v>
      </c>
      <c r="E13" s="81">
        <v>144000</v>
      </c>
      <c r="F13" s="81">
        <v>144000</v>
      </c>
      <c r="G13" s="81">
        <v>120000</v>
      </c>
      <c r="H13" s="81">
        <v>120000</v>
      </c>
      <c r="I13" s="82">
        <v>150000</v>
      </c>
      <c r="J13" s="81">
        <v>704000</v>
      </c>
      <c r="K13" s="64">
        <f>(42+46+50+42+40+44)/6</f>
        <v>44</v>
      </c>
      <c r="L13" s="51">
        <f t="shared" si="3"/>
        <v>0.88</v>
      </c>
      <c r="M13" s="52">
        <f t="shared" si="5"/>
        <v>132000</v>
      </c>
      <c r="N13" s="144">
        <f t="shared" si="4"/>
        <v>132000</v>
      </c>
    </row>
    <row r="14" spans="1:14" s="17" customFormat="1" ht="20.100000000000001" customHeight="1" thickBot="1" x14ac:dyDescent="0.35">
      <c r="A14" s="78">
        <v>10</v>
      </c>
      <c r="B14" s="79" t="s">
        <v>65</v>
      </c>
      <c r="C14" s="80" t="s">
        <v>66</v>
      </c>
      <c r="D14" s="81" t="s">
        <v>9</v>
      </c>
      <c r="E14" s="81" t="s">
        <v>9</v>
      </c>
      <c r="F14" s="81" t="s">
        <v>9</v>
      </c>
      <c r="G14" s="81" t="s">
        <v>9</v>
      </c>
      <c r="H14" s="81" t="s">
        <v>9</v>
      </c>
      <c r="I14" s="82">
        <v>110000</v>
      </c>
      <c r="J14" s="81">
        <v>186000</v>
      </c>
      <c r="K14" s="64">
        <f>(5+24+5+20+5+27)/6</f>
        <v>14.333333333333334</v>
      </c>
      <c r="L14" s="51">
        <f t="shared" si="3"/>
        <v>0</v>
      </c>
      <c r="M14" s="52">
        <f t="shared" si="5"/>
        <v>0</v>
      </c>
      <c r="N14" s="144">
        <f t="shared" si="4"/>
        <v>0</v>
      </c>
    </row>
    <row r="15" spans="1:14" s="17" customFormat="1" ht="20.100000000000001" customHeight="1" thickBot="1" x14ac:dyDescent="0.35">
      <c r="A15" s="78">
        <v>11</v>
      </c>
      <c r="B15" s="79" t="s">
        <v>68</v>
      </c>
      <c r="C15" s="80" t="s">
        <v>69</v>
      </c>
      <c r="D15" s="81">
        <v>35520</v>
      </c>
      <c r="E15" s="81">
        <v>9450</v>
      </c>
      <c r="F15" s="81" t="s">
        <v>9</v>
      </c>
      <c r="G15" s="81" t="s">
        <v>9</v>
      </c>
      <c r="H15" s="81" t="s">
        <v>9</v>
      </c>
      <c r="I15" s="82">
        <v>79000</v>
      </c>
      <c r="J15" s="81">
        <v>140000</v>
      </c>
      <c r="K15" s="64">
        <f>(40+48+45+41+50+37)/6</f>
        <v>43.5</v>
      </c>
      <c r="L15" s="51">
        <f t="shared" si="3"/>
        <v>0.87</v>
      </c>
      <c r="M15" s="52">
        <f t="shared" si="5"/>
        <v>68730</v>
      </c>
      <c r="N15" s="144">
        <f t="shared" si="4"/>
        <v>68700</v>
      </c>
    </row>
    <row r="16" spans="1:14" s="17" customFormat="1" ht="20.100000000000001" customHeight="1" thickBot="1" x14ac:dyDescent="0.35">
      <c r="A16" s="78">
        <v>12</v>
      </c>
      <c r="B16" s="79" t="s">
        <v>44</v>
      </c>
      <c r="C16" s="80" t="s">
        <v>71</v>
      </c>
      <c r="D16" s="81">
        <v>38800</v>
      </c>
      <c r="E16" s="81">
        <v>48350</v>
      </c>
      <c r="F16" s="81">
        <v>13200</v>
      </c>
      <c r="G16" s="81">
        <v>43200</v>
      </c>
      <c r="H16" s="81">
        <v>7200</v>
      </c>
      <c r="I16" s="82">
        <v>20000</v>
      </c>
      <c r="J16" s="81">
        <v>24000</v>
      </c>
      <c r="K16" s="64">
        <f>(30+46+40+25+31+46)/6</f>
        <v>36.333333333333336</v>
      </c>
      <c r="L16" s="51">
        <f t="shared" si="3"/>
        <v>0.72666666666666668</v>
      </c>
      <c r="M16" s="52">
        <f t="shared" si="5"/>
        <v>14533.333333333334</v>
      </c>
      <c r="N16" s="144">
        <f t="shared" si="4"/>
        <v>14500</v>
      </c>
    </row>
    <row r="17" spans="1:14" s="17" customFormat="1" ht="20.100000000000001" customHeight="1" x14ac:dyDescent="0.3">
      <c r="A17" s="137">
        <v>13</v>
      </c>
      <c r="B17" s="139" t="s">
        <v>89</v>
      </c>
      <c r="C17" s="61" t="s">
        <v>47</v>
      </c>
      <c r="D17" s="135">
        <f>12960+63200</f>
        <v>76160</v>
      </c>
      <c r="E17" s="135">
        <f>120000+22800+6500+10000</f>
        <v>159300</v>
      </c>
      <c r="F17" s="62">
        <v>120000</v>
      </c>
      <c r="G17" s="133">
        <v>144000</v>
      </c>
      <c r="H17" s="62">
        <v>123000</v>
      </c>
      <c r="I17" s="63">
        <v>150000</v>
      </c>
      <c r="J17" s="62">
        <v>225000</v>
      </c>
      <c r="K17" s="64">
        <f>(45+50+50+45+47+40)/6</f>
        <v>46.166666666666664</v>
      </c>
      <c r="L17" s="65">
        <f t="shared" si="3"/>
        <v>0.92333333333333334</v>
      </c>
      <c r="M17" s="66">
        <v>150000</v>
      </c>
      <c r="N17" s="145">
        <f t="shared" si="4"/>
        <v>150000</v>
      </c>
    </row>
    <row r="18" spans="1:14" s="17" customFormat="1" ht="20.100000000000001" customHeight="1" thickBot="1" x14ac:dyDescent="0.35">
      <c r="A18" s="138"/>
      <c r="B18" s="140"/>
      <c r="C18" s="83" t="s">
        <v>48</v>
      </c>
      <c r="D18" s="136"/>
      <c r="E18" s="136"/>
      <c r="F18" s="68">
        <v>22800</v>
      </c>
      <c r="G18" s="134"/>
      <c r="H18" s="58">
        <v>21000</v>
      </c>
      <c r="I18" s="69">
        <v>40000</v>
      </c>
      <c r="J18" s="68">
        <v>52000</v>
      </c>
      <c r="K18" s="70">
        <f>(40+48+50+42+47+39)/6</f>
        <v>44.333333333333336</v>
      </c>
      <c r="L18" s="71">
        <f t="shared" si="3"/>
        <v>0.88666666666666671</v>
      </c>
      <c r="M18" s="72">
        <f t="shared" si="5"/>
        <v>35466.666666666672</v>
      </c>
      <c r="N18" s="146">
        <f t="shared" si="4"/>
        <v>35500</v>
      </c>
    </row>
    <row r="19" spans="1:14" s="17" customFormat="1" ht="20.100000000000001" customHeight="1" x14ac:dyDescent="0.3">
      <c r="A19" s="125">
        <v>14</v>
      </c>
      <c r="B19" s="124" t="s">
        <v>11</v>
      </c>
      <c r="C19" s="112" t="s">
        <v>85</v>
      </c>
      <c r="D19" s="123">
        <f>24000+16000</f>
        <v>40000</v>
      </c>
      <c r="E19" s="123">
        <f>26700+14400+16000+25700</f>
        <v>82800</v>
      </c>
      <c r="F19" s="113">
        <v>25700</v>
      </c>
      <c r="G19" s="122">
        <v>62600</v>
      </c>
      <c r="H19" s="113">
        <v>34800</v>
      </c>
      <c r="I19" s="114">
        <v>36553</v>
      </c>
      <c r="J19" s="113">
        <v>40593</v>
      </c>
      <c r="K19" s="84">
        <f>(45+48+40+40+48+48)/6</f>
        <v>44.833333333333336</v>
      </c>
      <c r="L19" s="85">
        <f t="shared" si="3"/>
        <v>0.89666666666666672</v>
      </c>
      <c r="M19" s="86">
        <f t="shared" si="5"/>
        <v>32775.856666666667</v>
      </c>
      <c r="N19" s="147">
        <f t="shared" si="4"/>
        <v>32800</v>
      </c>
    </row>
    <row r="20" spans="1:14" s="17" customFormat="1" ht="20.100000000000001" customHeight="1" thickBot="1" x14ac:dyDescent="0.35">
      <c r="A20" s="125"/>
      <c r="B20" s="124"/>
      <c r="C20" s="115" t="s">
        <v>86</v>
      </c>
      <c r="D20" s="123"/>
      <c r="E20" s="123"/>
      <c r="F20" s="116">
        <v>16000</v>
      </c>
      <c r="G20" s="122"/>
      <c r="H20" s="116">
        <v>27800</v>
      </c>
      <c r="I20" s="117">
        <v>34187</v>
      </c>
      <c r="J20" s="116">
        <v>37986</v>
      </c>
      <c r="K20" s="87">
        <f>(45+46+40+48+48)/6</f>
        <v>37.833333333333336</v>
      </c>
      <c r="L20" s="88">
        <f t="shared" si="3"/>
        <v>0.75666666666666671</v>
      </c>
      <c r="M20" s="89">
        <f t="shared" si="5"/>
        <v>25868.163333333334</v>
      </c>
      <c r="N20" s="148">
        <f t="shared" si="4"/>
        <v>25900</v>
      </c>
    </row>
    <row r="21" spans="1:14" s="17" customFormat="1" ht="20.100000000000001" customHeight="1" thickBot="1" x14ac:dyDescent="0.35">
      <c r="A21" s="44">
        <v>15</v>
      </c>
      <c r="B21" s="73" t="s">
        <v>18</v>
      </c>
      <c r="C21" s="46" t="s">
        <v>57</v>
      </c>
      <c r="D21" s="47">
        <v>59041</v>
      </c>
      <c r="E21" s="48">
        <v>67700</v>
      </c>
      <c r="F21" s="47">
        <v>67700</v>
      </c>
      <c r="G21" s="47">
        <v>58100</v>
      </c>
      <c r="H21" s="47">
        <v>58100</v>
      </c>
      <c r="I21" s="49">
        <v>83355</v>
      </c>
      <c r="J21" s="47">
        <v>93619</v>
      </c>
      <c r="K21" s="50">
        <f>(39+40+30+33+30+35)/6</f>
        <v>34.5</v>
      </c>
      <c r="L21" s="51">
        <f t="shared" si="3"/>
        <v>0.69</v>
      </c>
      <c r="M21" s="52">
        <f t="shared" si="5"/>
        <v>57514.95</v>
      </c>
      <c r="N21" s="144">
        <f t="shared" si="4"/>
        <v>57500</v>
      </c>
    </row>
    <row r="22" spans="1:14" s="17" customFormat="1" ht="20.100000000000001" customHeight="1" thickBot="1" x14ac:dyDescent="0.35">
      <c r="A22" s="44">
        <v>16</v>
      </c>
      <c r="B22" s="73" t="s">
        <v>72</v>
      </c>
      <c r="C22" s="46" t="s">
        <v>78</v>
      </c>
      <c r="D22" s="47" t="s">
        <v>9</v>
      </c>
      <c r="E22" s="48">
        <v>3500</v>
      </c>
      <c r="F22" s="47">
        <v>3500</v>
      </c>
      <c r="G22" s="47">
        <v>7000</v>
      </c>
      <c r="H22" s="47">
        <v>7000</v>
      </c>
      <c r="I22" s="49">
        <v>24000</v>
      </c>
      <c r="J22" s="47">
        <v>72900</v>
      </c>
      <c r="K22" s="50">
        <f>(35+40+30+20+39+35)/6</f>
        <v>33.166666666666664</v>
      </c>
      <c r="L22" s="51">
        <f t="shared" si="3"/>
        <v>0.66333333333333333</v>
      </c>
      <c r="M22" s="52">
        <f t="shared" si="5"/>
        <v>15920</v>
      </c>
      <c r="N22" s="144">
        <f t="shared" si="4"/>
        <v>15900</v>
      </c>
    </row>
    <row r="23" spans="1:14" s="17" customFormat="1" ht="38.25" thickBot="1" x14ac:dyDescent="0.3">
      <c r="A23" s="44">
        <v>17</v>
      </c>
      <c r="B23" s="73" t="s">
        <v>75</v>
      </c>
      <c r="C23" s="90" t="s">
        <v>76</v>
      </c>
      <c r="D23" s="47">
        <v>5000</v>
      </c>
      <c r="E23" s="48">
        <v>5000</v>
      </c>
      <c r="F23" s="47">
        <v>5000</v>
      </c>
      <c r="G23" s="47">
        <v>5000</v>
      </c>
      <c r="H23" s="47">
        <v>5000</v>
      </c>
      <c r="I23" s="49">
        <v>5000</v>
      </c>
      <c r="J23" s="47">
        <v>2000000</v>
      </c>
      <c r="K23" s="50">
        <v>0</v>
      </c>
      <c r="L23" s="51">
        <f t="shared" si="3"/>
        <v>0</v>
      </c>
      <c r="M23" s="52">
        <f t="shared" si="5"/>
        <v>0</v>
      </c>
      <c r="N23" s="149">
        <f t="shared" si="4"/>
        <v>0</v>
      </c>
    </row>
    <row r="24" spans="1:14" s="17" customFormat="1" ht="20.100000000000001" customHeight="1" thickBot="1" x14ac:dyDescent="0.35">
      <c r="A24" s="91">
        <v>18</v>
      </c>
      <c r="B24" s="92" t="s">
        <v>74</v>
      </c>
      <c r="C24" s="93" t="s">
        <v>73</v>
      </c>
      <c r="D24" s="58" t="s">
        <v>9</v>
      </c>
      <c r="E24" s="94" t="s">
        <v>9</v>
      </c>
      <c r="F24" s="58" t="s">
        <v>9</v>
      </c>
      <c r="G24" s="58">
        <v>0</v>
      </c>
      <c r="H24" s="58" t="s">
        <v>9</v>
      </c>
      <c r="I24" s="95">
        <v>35000</v>
      </c>
      <c r="J24" s="58">
        <v>115000</v>
      </c>
      <c r="K24" s="92">
        <f>(35+44+45+42+40+36)/6</f>
        <v>40.333333333333336</v>
      </c>
      <c r="L24" s="71">
        <f t="shared" si="3"/>
        <v>0.80666666666666675</v>
      </c>
      <c r="M24" s="72">
        <f t="shared" si="5"/>
        <v>28233.333333333336</v>
      </c>
      <c r="N24" s="150">
        <f t="shared" si="4"/>
        <v>28200</v>
      </c>
    </row>
    <row r="25" spans="1:14" s="17" customFormat="1" ht="38.25" thickBot="1" x14ac:dyDescent="0.3">
      <c r="A25" s="53">
        <v>19</v>
      </c>
      <c r="B25" s="60" t="s">
        <v>43</v>
      </c>
      <c r="C25" s="96" t="s">
        <v>67</v>
      </c>
      <c r="D25" s="56" t="s">
        <v>9</v>
      </c>
      <c r="E25" s="57">
        <v>15100</v>
      </c>
      <c r="F25" s="58">
        <v>15100</v>
      </c>
      <c r="G25" s="56" t="s">
        <v>9</v>
      </c>
      <c r="H25" s="81" t="s">
        <v>9</v>
      </c>
      <c r="I25" s="95">
        <v>20000</v>
      </c>
      <c r="J25" s="58">
        <v>25000</v>
      </c>
      <c r="K25" s="92">
        <f>(40+44+40+40+40+41)/6</f>
        <v>40.833333333333336</v>
      </c>
      <c r="L25" s="51">
        <f t="shared" si="3"/>
        <v>0.81666666666666676</v>
      </c>
      <c r="M25" s="52">
        <f t="shared" si="5"/>
        <v>16333.333333333336</v>
      </c>
      <c r="N25" s="149">
        <f t="shared" si="4"/>
        <v>16300</v>
      </c>
    </row>
    <row r="26" spans="1:14" s="17" customFormat="1" ht="20.100000000000001" customHeight="1" thickBot="1" x14ac:dyDescent="0.35">
      <c r="A26" s="78">
        <v>20</v>
      </c>
      <c r="B26" s="79" t="s">
        <v>13</v>
      </c>
      <c r="C26" s="44" t="s">
        <v>62</v>
      </c>
      <c r="D26" s="97">
        <v>35680</v>
      </c>
      <c r="E26" s="97">
        <f>37200+18200</f>
        <v>55400</v>
      </c>
      <c r="F26" s="47">
        <f>37200+18200</f>
        <v>55400</v>
      </c>
      <c r="G26" s="97">
        <v>50800</v>
      </c>
      <c r="H26" s="62">
        <f>34400+16400</f>
        <v>50800</v>
      </c>
      <c r="I26" s="98">
        <v>69300</v>
      </c>
      <c r="J26" s="47">
        <v>77000</v>
      </c>
      <c r="K26" s="50">
        <f>(38+38+40+38+43+38)/6</f>
        <v>39.166666666666664</v>
      </c>
      <c r="L26" s="51">
        <f t="shared" si="3"/>
        <v>0.78333333333333333</v>
      </c>
      <c r="M26" s="52">
        <f t="shared" si="5"/>
        <v>54285</v>
      </c>
      <c r="N26" s="144">
        <f t="shared" si="4"/>
        <v>54300</v>
      </c>
    </row>
    <row r="27" spans="1:14" s="17" customFormat="1" ht="19.5" thickBot="1" x14ac:dyDescent="0.3">
      <c r="A27" s="78">
        <v>21</v>
      </c>
      <c r="B27" s="79" t="s">
        <v>19</v>
      </c>
      <c r="C27" s="99" t="s">
        <v>77</v>
      </c>
      <c r="D27" s="81">
        <f>39200+39200</f>
        <v>78400</v>
      </c>
      <c r="E27" s="81">
        <f>57400+80000</f>
        <v>137400</v>
      </c>
      <c r="F27" s="81">
        <v>137400</v>
      </c>
      <c r="G27" s="100">
        <f>54200*2</f>
        <v>108400</v>
      </c>
      <c r="H27" s="62">
        <v>108400</v>
      </c>
      <c r="I27" s="82">
        <v>150000</v>
      </c>
      <c r="J27" s="81">
        <v>336800</v>
      </c>
      <c r="K27" s="79">
        <f>(45+30+35+35+45+37)/6</f>
        <v>37.833333333333336</v>
      </c>
      <c r="L27" s="65">
        <f t="shared" si="3"/>
        <v>0.75666666666666671</v>
      </c>
      <c r="M27" s="66">
        <f t="shared" si="5"/>
        <v>113500</v>
      </c>
      <c r="N27" s="151">
        <f t="shared" si="4"/>
        <v>113500</v>
      </c>
    </row>
    <row r="28" spans="1:14" s="17" customFormat="1" ht="38.25" thickBot="1" x14ac:dyDescent="0.3">
      <c r="A28" s="78">
        <v>22</v>
      </c>
      <c r="B28" s="110" t="s">
        <v>84</v>
      </c>
      <c r="C28" s="111" t="s">
        <v>79</v>
      </c>
      <c r="D28" s="81">
        <v>120000</v>
      </c>
      <c r="E28" s="81">
        <v>144000</v>
      </c>
      <c r="F28" s="81" t="s">
        <v>9</v>
      </c>
      <c r="G28" s="100">
        <v>120000</v>
      </c>
      <c r="H28" s="81" t="s">
        <v>9</v>
      </c>
      <c r="I28" s="82">
        <v>150000</v>
      </c>
      <c r="J28" s="81">
        <v>270000</v>
      </c>
      <c r="K28" s="79">
        <f>(20+24+25+30+20+47)/6</f>
        <v>27.666666666666668</v>
      </c>
      <c r="L28" s="65">
        <f t="shared" si="3"/>
        <v>0.55333333333333334</v>
      </c>
      <c r="M28" s="66">
        <v>40000</v>
      </c>
      <c r="N28" s="151">
        <f t="shared" si="4"/>
        <v>40000</v>
      </c>
    </row>
    <row r="29" spans="1:14" s="17" customFormat="1" ht="19.5" thickBot="1" x14ac:dyDescent="0.3">
      <c r="A29" s="78">
        <v>23</v>
      </c>
      <c r="B29" s="79" t="s">
        <v>80</v>
      </c>
      <c r="C29" s="111" t="s">
        <v>81</v>
      </c>
      <c r="D29" s="81" t="s">
        <v>9</v>
      </c>
      <c r="E29" s="81" t="s">
        <v>9</v>
      </c>
      <c r="F29" s="81" t="s">
        <v>9</v>
      </c>
      <c r="G29" s="100" t="s">
        <v>9</v>
      </c>
      <c r="H29" s="81" t="s">
        <v>9</v>
      </c>
      <c r="I29" s="82">
        <v>18000</v>
      </c>
      <c r="J29" s="81">
        <v>20000</v>
      </c>
      <c r="K29" s="79">
        <f>(30+46+40+35+35+18)/6</f>
        <v>34</v>
      </c>
      <c r="L29" s="65">
        <f t="shared" si="3"/>
        <v>0.68</v>
      </c>
      <c r="M29" s="66">
        <f t="shared" si="5"/>
        <v>12240</v>
      </c>
      <c r="N29" s="151">
        <f t="shared" si="4"/>
        <v>12200</v>
      </c>
    </row>
    <row r="30" spans="1:14" s="17" customFormat="1" ht="19.5" thickBot="1" x14ac:dyDescent="0.3">
      <c r="A30" s="78">
        <v>24</v>
      </c>
      <c r="B30" s="79" t="s">
        <v>82</v>
      </c>
      <c r="C30" s="111" t="s">
        <v>83</v>
      </c>
      <c r="D30" s="81" t="s">
        <v>9</v>
      </c>
      <c r="E30" s="81" t="s">
        <v>9</v>
      </c>
      <c r="F30" s="81" t="s">
        <v>9</v>
      </c>
      <c r="G30" s="100">
        <v>5000</v>
      </c>
      <c r="H30" s="81">
        <v>5000</v>
      </c>
      <c r="I30" s="82">
        <v>5000</v>
      </c>
      <c r="J30" s="81">
        <v>6600</v>
      </c>
      <c r="K30" s="79">
        <v>0</v>
      </c>
      <c r="L30" s="65">
        <f t="shared" si="3"/>
        <v>0</v>
      </c>
      <c r="M30" s="66">
        <f t="shared" si="5"/>
        <v>0</v>
      </c>
      <c r="N30" s="151">
        <f t="shared" si="4"/>
        <v>0</v>
      </c>
    </row>
    <row r="31" spans="1:14" s="18" customFormat="1" ht="20.100000000000001" customHeight="1" thickBot="1" x14ac:dyDescent="0.35">
      <c r="A31" s="101">
        <v>25</v>
      </c>
      <c r="B31" s="102" t="s">
        <v>33</v>
      </c>
      <c r="C31" s="103" t="s">
        <v>64</v>
      </c>
      <c r="D31" s="104">
        <v>6400</v>
      </c>
      <c r="E31" s="104">
        <v>10000</v>
      </c>
      <c r="F31" s="105">
        <v>10000</v>
      </c>
      <c r="G31" s="105">
        <v>42800</v>
      </c>
      <c r="H31" s="105">
        <v>10000</v>
      </c>
      <c r="I31" s="106">
        <v>20000</v>
      </c>
      <c r="J31" s="107">
        <v>30000</v>
      </c>
      <c r="K31" s="108">
        <f>(45+48+50+45+50+38)/6</f>
        <v>46</v>
      </c>
      <c r="L31" s="51">
        <f t="shared" si="3"/>
        <v>0.92</v>
      </c>
      <c r="M31" s="52">
        <v>20000</v>
      </c>
      <c r="N31" s="144">
        <f t="shared" si="4"/>
        <v>20000</v>
      </c>
    </row>
    <row r="32" spans="1:14" ht="19.5" thickBot="1" x14ac:dyDescent="0.35">
      <c r="A32" s="42" t="s">
        <v>14</v>
      </c>
      <c r="B32" s="43"/>
      <c r="C32" s="43"/>
      <c r="D32" s="43"/>
      <c r="E32" s="43"/>
      <c r="F32" s="43"/>
      <c r="G32" s="25"/>
      <c r="H32" s="16"/>
      <c r="I32" s="9">
        <f>SUM(I4:I31)</f>
        <v>1687975</v>
      </c>
      <c r="J32" s="109">
        <f>SUM(J4:J31)</f>
        <v>5411073.5999999996</v>
      </c>
      <c r="K32" s="19"/>
      <c r="L32" s="23"/>
      <c r="M32" s="24"/>
      <c r="N32" s="152">
        <f>SUM(N4:N31)</f>
        <v>1070300</v>
      </c>
    </row>
    <row r="33" spans="1:14" ht="18.75" x14ac:dyDescent="0.3">
      <c r="A33" s="10"/>
      <c r="B33" s="10"/>
      <c r="C33" s="10"/>
      <c r="D33" s="10"/>
      <c r="E33" s="10"/>
      <c r="F33" s="10"/>
      <c r="G33" s="10"/>
      <c r="H33" s="10"/>
      <c r="I33" s="11"/>
      <c r="J33" s="12"/>
      <c r="K33" s="12"/>
      <c r="L33" s="12"/>
      <c r="M33" s="13"/>
    </row>
    <row r="34" spans="1:14" ht="14.25" customHeight="1" x14ac:dyDescent="0.3">
      <c r="A34" s="128" t="s">
        <v>21</v>
      </c>
      <c r="B34" s="128"/>
      <c r="C34" s="10"/>
      <c r="D34" s="10"/>
      <c r="E34" s="10"/>
      <c r="F34" s="10"/>
      <c r="G34" s="10"/>
      <c r="H34" s="10"/>
      <c r="I34" s="11"/>
      <c r="J34" s="12"/>
      <c r="K34" s="12"/>
      <c r="L34" s="12"/>
      <c r="M34" s="13"/>
    </row>
    <row r="35" spans="1:14" ht="18.75" x14ac:dyDescent="0.3">
      <c r="A35" s="127" t="s">
        <v>50</v>
      </c>
      <c r="B35" s="127"/>
      <c r="C35" s="127"/>
      <c r="D35" s="10"/>
      <c r="E35" s="10"/>
      <c r="F35" s="10"/>
      <c r="G35" s="10"/>
      <c r="H35" s="10"/>
      <c r="I35" s="11"/>
      <c r="J35" s="12"/>
      <c r="K35" s="12"/>
      <c r="L35" s="12"/>
      <c r="M35" s="13"/>
    </row>
    <row r="36" spans="1:14" ht="18.75" x14ac:dyDescent="0.3">
      <c r="A36" s="15" t="s">
        <v>22</v>
      </c>
      <c r="B36" s="15"/>
      <c r="C36" s="14"/>
      <c r="D36" s="14"/>
      <c r="E36" s="10"/>
      <c r="F36" s="10"/>
      <c r="G36" s="10"/>
      <c r="H36" s="10"/>
      <c r="I36" s="11"/>
      <c r="J36" s="12"/>
      <c r="K36" s="12"/>
      <c r="L36" s="12"/>
      <c r="M36" s="13"/>
    </row>
    <row r="37" spans="1:14" ht="18.75" x14ac:dyDescent="0.3">
      <c r="A37" s="126" t="s">
        <v>23</v>
      </c>
      <c r="B37" s="126"/>
      <c r="C37" s="126"/>
      <c r="D37" s="10"/>
      <c r="E37" s="10"/>
      <c r="F37" s="10"/>
      <c r="G37" s="10"/>
      <c r="H37" s="10"/>
      <c r="I37" s="11"/>
      <c r="J37" s="12"/>
      <c r="K37" s="12"/>
      <c r="L37" s="12"/>
      <c r="M37" s="13"/>
    </row>
    <row r="38" spans="1:14" ht="18.75" x14ac:dyDescent="0.3">
      <c r="A38" s="126" t="s">
        <v>90</v>
      </c>
      <c r="B38" s="126"/>
      <c r="C38" s="126"/>
      <c r="D38" s="10"/>
      <c r="E38" s="10"/>
      <c r="F38" s="10"/>
      <c r="G38" s="10"/>
      <c r="H38" s="10"/>
      <c r="I38" s="11"/>
      <c r="J38" s="12"/>
      <c r="K38" s="12"/>
      <c r="L38" s="12"/>
      <c r="M38" s="13"/>
    </row>
    <row r="40" spans="1:14" ht="18.75" x14ac:dyDescent="0.3">
      <c r="A40" s="21" t="s">
        <v>88</v>
      </c>
      <c r="B40" s="21"/>
      <c r="C40" s="20"/>
      <c r="D40" s="10"/>
      <c r="E40" s="10"/>
      <c r="F40" s="10"/>
      <c r="G40" s="10"/>
      <c r="H40" s="10"/>
      <c r="I40" s="11"/>
      <c r="J40" s="12"/>
      <c r="K40" s="12"/>
      <c r="L40" s="12"/>
      <c r="M40" s="13"/>
    </row>
    <row r="41" spans="1:14" ht="18.75" customHeight="1" x14ac:dyDescent="0.25">
      <c r="A41" s="141" t="s">
        <v>92</v>
      </c>
      <c r="D41" s="142"/>
      <c r="E41" s="142"/>
      <c r="F41" s="142"/>
      <c r="G41" s="142"/>
      <c r="H41" s="142"/>
      <c r="I41" s="142"/>
      <c r="J41" s="126"/>
      <c r="K41" s="126"/>
      <c r="L41" s="126"/>
      <c r="M41" s="126"/>
      <c r="N41" s="126"/>
    </row>
    <row r="42" spans="1:14" ht="15.75" thickBot="1" x14ac:dyDescent="0.3"/>
    <row r="43" spans="1:14" ht="20.100000000000001" customHeight="1" thickBot="1" x14ac:dyDescent="0.3">
      <c r="B43" s="119" t="s">
        <v>53</v>
      </c>
      <c r="C43" s="120"/>
      <c r="D43" s="121"/>
    </row>
    <row r="44" spans="1:14" ht="20.100000000000001" customHeight="1" x14ac:dyDescent="0.3">
      <c r="B44" s="30" t="s">
        <v>51</v>
      </c>
      <c r="C44" s="31"/>
      <c r="D44" s="26">
        <v>1500000</v>
      </c>
    </row>
    <row r="45" spans="1:14" ht="20.100000000000001" customHeight="1" x14ac:dyDescent="0.3">
      <c r="B45" s="32" t="s">
        <v>52</v>
      </c>
      <c r="C45" s="29"/>
      <c r="D45" s="33">
        <f>SUM(D46:D52)</f>
        <v>423000</v>
      </c>
    </row>
    <row r="46" spans="1:14" ht="20.100000000000001" customHeight="1" x14ac:dyDescent="0.3">
      <c r="B46" s="27" t="s">
        <v>29</v>
      </c>
      <c r="C46" s="40" t="s">
        <v>31</v>
      </c>
      <c r="D46" s="34">
        <v>28000</v>
      </c>
    </row>
    <row r="47" spans="1:14" ht="20.100000000000001" customHeight="1" x14ac:dyDescent="0.3">
      <c r="B47" s="27" t="s">
        <v>17</v>
      </c>
      <c r="C47" s="40" t="s">
        <v>46</v>
      </c>
      <c r="D47" s="34">
        <v>83900</v>
      </c>
    </row>
    <row r="48" spans="1:14" ht="20.100000000000001" customHeight="1" x14ac:dyDescent="0.3">
      <c r="B48" s="27" t="s">
        <v>6</v>
      </c>
      <c r="C48" s="40" t="s">
        <v>35</v>
      </c>
      <c r="D48" s="34">
        <v>150000</v>
      </c>
    </row>
    <row r="49" spans="2:12" ht="20.100000000000001" customHeight="1" x14ac:dyDescent="0.3">
      <c r="B49" s="28" t="s">
        <v>39</v>
      </c>
      <c r="C49" s="40" t="s">
        <v>40</v>
      </c>
      <c r="D49" s="34">
        <v>48000</v>
      </c>
    </row>
    <row r="50" spans="2:12" ht="20.100000000000001" customHeight="1" x14ac:dyDescent="0.3">
      <c r="B50" s="27" t="s">
        <v>41</v>
      </c>
      <c r="C50" s="40" t="s">
        <v>42</v>
      </c>
      <c r="D50" s="34">
        <v>31800</v>
      </c>
    </row>
    <row r="51" spans="2:12" ht="20.100000000000001" customHeight="1" x14ac:dyDescent="0.3">
      <c r="B51" s="27" t="s">
        <v>44</v>
      </c>
      <c r="C51" s="40" t="s">
        <v>45</v>
      </c>
      <c r="D51" s="34">
        <v>15000</v>
      </c>
    </row>
    <row r="52" spans="2:12" ht="20.100000000000001" customHeight="1" thickBot="1" x14ac:dyDescent="0.35">
      <c r="B52" s="35" t="s">
        <v>34</v>
      </c>
      <c r="C52" s="41" t="s">
        <v>16</v>
      </c>
      <c r="D52" s="36">
        <v>66300</v>
      </c>
    </row>
    <row r="53" spans="2:12" ht="20.100000000000001" customHeight="1" thickBot="1" x14ac:dyDescent="0.35">
      <c r="B53" s="37" t="s">
        <v>15</v>
      </c>
      <c r="C53" s="38"/>
      <c r="D53" s="39">
        <f>D44-D45</f>
        <v>1077000</v>
      </c>
    </row>
    <row r="54" spans="2:12" ht="32.25" customHeight="1" x14ac:dyDescent="0.25">
      <c r="K54" s="1"/>
      <c r="L54" s="1"/>
    </row>
  </sheetData>
  <mergeCells count="24">
    <mergeCell ref="M41:N41"/>
    <mergeCell ref="A1:N1"/>
    <mergeCell ref="A2:N2"/>
    <mergeCell ref="G9:G10"/>
    <mergeCell ref="G17:G18"/>
    <mergeCell ref="D9:D10"/>
    <mergeCell ref="E9:E10"/>
    <mergeCell ref="D17:D18"/>
    <mergeCell ref="E17:E18"/>
    <mergeCell ref="A9:A10"/>
    <mergeCell ref="B9:B10"/>
    <mergeCell ref="B17:B18"/>
    <mergeCell ref="A17:A18"/>
    <mergeCell ref="B43:D43"/>
    <mergeCell ref="G19:G20"/>
    <mergeCell ref="D19:D20"/>
    <mergeCell ref="B19:B20"/>
    <mergeCell ref="A19:A20"/>
    <mergeCell ref="E19:E20"/>
    <mergeCell ref="A37:C37"/>
    <mergeCell ref="A35:C35"/>
    <mergeCell ref="A34:B34"/>
    <mergeCell ref="A38:C38"/>
    <mergeCell ref="J41:L41"/>
  </mergeCells>
  <pageMargins left="0.7" right="0.7" top="0.78740157499999996" bottom="0.78740157499999996" header="0.3" footer="0.3"/>
  <pageSetup paperSize="8" scale="5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Škeříková Michaela</dc:creator>
  <cp:lastModifiedBy>Dvořáková Pavla, Ing.</cp:lastModifiedBy>
  <cp:lastPrinted>2020-11-19T08:38:05Z</cp:lastPrinted>
  <dcterms:created xsi:type="dcterms:W3CDTF">2018-11-09T06:26:54Z</dcterms:created>
  <dcterms:modified xsi:type="dcterms:W3CDTF">2020-11-19T08:38:09Z</dcterms:modified>
</cp:coreProperties>
</file>